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bookViews>
    <workbookView xWindow="-120" yWindow="-120" windowWidth="20730" windowHeight="1116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</externalReferences>
  <definedNames>
    <definedName name="_xlnm.Print_Area" localSheetId="2">Ejemplo!$A$1:$D$21</definedName>
    <definedName name="_xlnm.Print_Area" localSheetId="1">'Plantilla Ejecución '!$A$1:$L$120</definedName>
    <definedName name="_xlnm.Print_Area" localSheetId="0">'Plantilla Presupuesto'!$A$1:$S$87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3" l="1"/>
  <c r="L12" i="3"/>
  <c r="L14" i="3"/>
  <c r="L73" i="3" s="1"/>
  <c r="L87" i="3" s="1"/>
  <c r="L16" i="3"/>
  <c r="L17" i="3"/>
  <c r="L18" i="3"/>
  <c r="L22" i="3"/>
  <c r="L23" i="3"/>
  <c r="L26" i="3"/>
  <c r="L29" i="3"/>
  <c r="L32" i="3"/>
  <c r="L34" i="3"/>
  <c r="L52" i="3"/>
  <c r="L85" i="3"/>
  <c r="D85" i="3" l="1"/>
  <c r="E85" i="3"/>
  <c r="F85" i="3"/>
  <c r="G85" i="3"/>
  <c r="H85" i="3"/>
  <c r="I85" i="3"/>
  <c r="J85" i="3"/>
  <c r="K85" i="3"/>
  <c r="J87" i="3" l="1"/>
  <c r="C80" i="3" l="1"/>
  <c r="D19" i="5" l="1"/>
  <c r="C10" i="5"/>
  <c r="C14" i="5"/>
  <c r="C9" i="5"/>
  <c r="C12" i="5"/>
  <c r="C11" i="5"/>
  <c r="C19" i="5" l="1"/>
  <c r="C12" i="3"/>
  <c r="C13" i="3"/>
  <c r="C14" i="3"/>
  <c r="C15" i="3"/>
  <c r="C24" i="3"/>
  <c r="C25" i="3"/>
  <c r="C26" i="3"/>
  <c r="C27" i="3"/>
  <c r="C28" i="3"/>
  <c r="C29" i="3"/>
  <c r="C30" i="3"/>
  <c r="C33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I52" i="3"/>
  <c r="I34" i="3"/>
  <c r="I32" i="3"/>
  <c r="I31" i="3"/>
  <c r="C31" i="3" s="1"/>
  <c r="I23" i="3"/>
  <c r="I22" i="3"/>
  <c r="I16" i="3"/>
  <c r="I20" i="3"/>
  <c r="H17" i="3" l="1"/>
  <c r="C17" i="3" s="1"/>
  <c r="H18" i="3"/>
  <c r="C18" i="3" s="1"/>
  <c r="H16" i="3"/>
  <c r="H22" i="3"/>
  <c r="C77" i="3" l="1"/>
  <c r="C78" i="3"/>
  <c r="C79" i="3"/>
  <c r="C81" i="3"/>
  <c r="C82" i="3"/>
  <c r="C83" i="3"/>
  <c r="C84" i="3"/>
  <c r="C76" i="3"/>
  <c r="H73" i="3"/>
  <c r="H87" i="3" s="1"/>
  <c r="I73" i="3"/>
  <c r="K73" i="3"/>
  <c r="C85" i="3" l="1"/>
  <c r="G23" i="3"/>
  <c r="G73" i="3" l="1"/>
  <c r="G87" i="3" s="1"/>
  <c r="D73" i="3" l="1"/>
  <c r="F10" i="3" l="1"/>
  <c r="F32" i="3"/>
  <c r="F23" i="3"/>
  <c r="F19" i="3"/>
  <c r="C19" i="3" s="1"/>
  <c r="F52" i="3"/>
  <c r="C52" i="3" s="1"/>
  <c r="F34" i="3"/>
  <c r="C34" i="3" s="1"/>
  <c r="F22" i="3"/>
  <c r="F21" i="3"/>
  <c r="C21" i="3" s="1"/>
  <c r="F20" i="3"/>
  <c r="C20" i="3" s="1"/>
  <c r="F16" i="3"/>
  <c r="F11" i="3"/>
  <c r="C11" i="3" s="1"/>
  <c r="E23" i="3"/>
  <c r="C23" i="3" s="1"/>
  <c r="E32" i="3"/>
  <c r="C32" i="3" s="1"/>
  <c r="E22" i="3"/>
  <c r="C22" i="3" s="1"/>
  <c r="E16" i="3"/>
  <c r="E10" i="3"/>
  <c r="C16" i="3" l="1"/>
  <c r="F73" i="3"/>
  <c r="E73" i="3"/>
  <c r="E87" i="3" s="1"/>
  <c r="D87" i="3" l="1"/>
  <c r="F87" i="3"/>
  <c r="K87" i="3"/>
  <c r="C10" i="3" s="1"/>
  <c r="C73" i="3" s="1"/>
  <c r="C87" i="3" s="1"/>
  <c r="I87" i="3" l="1"/>
</calcChain>
</file>

<file path=xl/sharedStrings.xml><?xml version="1.0" encoding="utf-8"?>
<sst xmlns="http://schemas.openxmlformats.org/spreadsheetml/2006/main" count="209" uniqueCount="114">
  <si>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</si>
  <si>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</si>
  <si>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</si>
  <si>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</si>
  <si>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</si>
  <si>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</si>
  <si>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</si>
  <si>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</si>
  <si>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</si>
  <si>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</si>
  <si>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</si>
  <si>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</si>
  <si>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</si>
  <si>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</si>
  <si>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</si>
  <si>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</si>
  <si>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</si>
  <si>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</si>
  <si>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</si>
  <si>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</si>
  <si>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</si>
  <si>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</si>
  <si>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</si>
  <si>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</si>
  <si>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</si>
  <si>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</si>
  <si>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</si>
  <si>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</si>
  <si>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</si>
  <si>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</si>
  <si>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</si>
  <si>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</si>
  <si>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</si>
  <si>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</si>
  <si>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</si>
  <si>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</si>
  <si>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</si>
  <si>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</si>
  <si>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</si>
  <si>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</si>
  <si>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</si>
  <si>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</si>
  <si>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</si>
  <si>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</si>
  <si>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</si>
  <si>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</si>
  <si>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</si>
  <si>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</si>
  <si>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</si>
  <si>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</si>
  <si>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</si>
  <si>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</si>
  <si>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</si>
  <si>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</si>
  <si>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</si>
  <si>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</si>
  <si>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</si>
  <si>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</si>
  <si>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</si>
  <si>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</si>
  <si>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</si>
  <si>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</si>
  <si>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</si>
  <si>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</si>
  <si>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</si>
  <si>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</si>
  <si>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</si>
  <si>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</si>
  <si>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</si>
  <si>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</si>
  <si>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</si>
  <si>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</si>
  <si>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</si>
  <si>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</si>
  <si>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</si>
  <si>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</si>
  <si>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</si>
  <si>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</si>
  <si>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</si>
  <si>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</si>
  <si>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</si>
  <si>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</si>
  <si>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</si>
  <si>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</si>
  <si>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</si>
  <si>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</si>
  <si>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</si>
  <si>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</si>
  <si>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</si>
  <si>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</si>
  <si>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</si>
  <si>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</si>
  <si>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</si>
  <si>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</si>
  <si>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</si>
  <si>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</si>
  <si>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</si>
  <si>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</si>
  <si>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</si>
  <si>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</si>
  <si>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</si>
  <si>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</si>
  <si>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</si>
  <si>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</si>
  <si>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>Año 2021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</si>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</sst>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8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8" fillId="0" borderId="0" xfId="1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/>
    <xf numFmtId="43" fontId="8" fillId="0" borderId="0" xfId="1" applyFont="1"/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/>
    <xf numFmtId="43" fontId="8" fillId="0" borderId="0" xfId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8" fillId="0" borderId="0" xfId="1" applyFont="1" applyBorder="1" applyAlignment="1">
      <alignment horizontal="center" vertical="center"/>
    </xf>
    <xf numFmtId="43" fontId="8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43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2139951</xdr:colOff>
      <xdr:row>0</xdr:row>
      <xdr:rowOff>135021</xdr:rowOff>
    </xdr:from>
    <xdr:to>
      <xdr:col>1</xdr:col>
      <xdr:colOff>3806826</xdr:colOff>
      <xdr:row>4</xdr:row>
      <xdr:rowOff>151421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1" y="135021"/>
          <a:ext cx="1666875" cy="103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451184</xdr:colOff>
      <xdr:row>1</xdr:row>
      <xdr:rowOff>31749</xdr:rowOff>
    </xdr:from>
    <xdr:to>
      <xdr:col>9</xdr:col>
      <xdr:colOff>1320731</xdr:colOff>
      <xdr:row>4</xdr:row>
      <xdr:rowOff>130627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7945434" y="285749"/>
          <a:ext cx="869547" cy="860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133350</xdr:rowOff>
    </xdr:from>
    <xdr:to>
      <xdr:col>10</xdr:col>
      <xdr:colOff>838200</xdr:colOff>
      <xdr:row>116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5BD883-0B76-44AC-892C-76A90F5C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012900"/>
          <a:ext cx="19697700" cy="68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81"/>
      <c r="B1" s="81"/>
      <c r="D1" s="9" t="s">
        <v>38</v>
      </c>
    </row>
    <row r="2" spans="1:4" ht="18.75" x14ac:dyDescent="0.25">
      <c r="A2" s="81" t="s">
        <v>101</v>
      </c>
      <c r="B2" s="81"/>
      <c r="D2" s="15" t="s">
        <v>93</v>
      </c>
    </row>
    <row r="3" spans="1:4" ht="18.75" x14ac:dyDescent="0.25">
      <c r="A3" s="81" t="s">
        <v>102</v>
      </c>
      <c r="B3" s="81"/>
      <c r="D3" s="15" t="s">
        <v>94</v>
      </c>
    </row>
    <row r="4" spans="1:4" ht="18.75" x14ac:dyDescent="0.3">
      <c r="A4" s="83" t="s">
        <v>99</v>
      </c>
      <c r="B4" s="83"/>
      <c r="D4" s="9" t="s">
        <v>90</v>
      </c>
    </row>
    <row r="5" spans="1:4" x14ac:dyDescent="0.25">
      <c r="A5" s="82" t="s">
        <v>36</v>
      </c>
      <c r="B5" s="82"/>
      <c r="D5" s="15" t="s">
        <v>91</v>
      </c>
    </row>
    <row r="6" spans="1:4" x14ac:dyDescent="0.25">
      <c r="D6" s="15" t="s">
        <v>92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97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0"/>
  <sheetViews>
    <sheetView showGridLines="0" tabSelected="1" view="pageBreakPreview" zoomScale="30" zoomScaleNormal="100" zoomScaleSheetLayoutView="30" workbookViewId="0">
      <selection activeCell="W17" sqref="W17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25.42578125" style="37" bestFit="1" customWidth="1"/>
    <col min="4" max="7" width="23.42578125" style="58" bestFit="1" customWidth="1"/>
    <col min="8" max="8" width="23.42578125" style="37" bestFit="1" customWidth="1"/>
    <col min="9" max="10" width="29.140625" style="38" bestFit="1" customWidth="1"/>
    <col min="11" max="11" width="31.140625" style="38" bestFit="1" customWidth="1"/>
    <col min="12" max="12" width="31.140625" style="37" bestFit="1" customWidth="1"/>
    <col min="13" max="13" width="29.140625" style="39" customWidth="1"/>
    <col min="14" max="14" width="16.140625" style="39" bestFit="1" customWidth="1"/>
    <col min="15" max="15" width="15.42578125" style="39" bestFit="1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21" x14ac:dyDescent="0.3">
      <c r="B2" s="81" t="s">
        <v>101</v>
      </c>
      <c r="C2" s="81"/>
      <c r="D2" s="81"/>
      <c r="E2" s="81"/>
      <c r="F2" s="81"/>
      <c r="G2" s="81"/>
      <c r="H2" s="81"/>
      <c r="I2" s="81"/>
      <c r="J2" s="81"/>
      <c r="K2" s="88"/>
      <c r="L2" s="88"/>
      <c r="M2" s="88"/>
      <c r="N2" s="88"/>
      <c r="O2" s="88"/>
    </row>
    <row r="3" spans="2:21" x14ac:dyDescent="0.3">
      <c r="B3" s="81" t="s">
        <v>104</v>
      </c>
      <c r="C3" s="81"/>
      <c r="D3" s="81"/>
      <c r="E3" s="81"/>
      <c r="F3" s="81"/>
      <c r="G3" s="81"/>
      <c r="H3" s="81"/>
      <c r="I3" s="81"/>
      <c r="J3" s="81"/>
      <c r="K3" s="88"/>
      <c r="L3" s="88"/>
      <c r="M3" s="88"/>
      <c r="N3" s="88"/>
      <c r="O3" s="88"/>
    </row>
    <row r="4" spans="2:21" x14ac:dyDescent="0.3">
      <c r="B4" s="81" t="s">
        <v>98</v>
      </c>
      <c r="C4" s="81"/>
      <c r="D4" s="81"/>
      <c r="E4" s="81"/>
      <c r="F4" s="81"/>
      <c r="G4" s="81"/>
      <c r="H4" s="81"/>
      <c r="I4" s="81"/>
      <c r="J4" s="81"/>
      <c r="K4" s="88"/>
      <c r="L4" s="88"/>
      <c r="M4" s="88"/>
      <c r="N4" s="88"/>
      <c r="O4" s="88"/>
    </row>
    <row r="5" spans="2:21" x14ac:dyDescent="0.3">
      <c r="B5" s="85" t="s">
        <v>36</v>
      </c>
      <c r="C5" s="85"/>
      <c r="D5" s="85"/>
      <c r="E5" s="85"/>
      <c r="F5" s="85"/>
      <c r="G5" s="85"/>
      <c r="H5" s="85"/>
      <c r="I5" s="85"/>
      <c r="J5" s="85"/>
      <c r="K5" s="89"/>
      <c r="L5" s="89"/>
      <c r="M5" s="89"/>
      <c r="N5" s="89"/>
      <c r="O5" s="89"/>
    </row>
    <row r="6" spans="2:21" x14ac:dyDescent="0.3">
      <c r="D6" s="37"/>
      <c r="E6" s="37"/>
      <c r="F6" s="37"/>
      <c r="G6" s="37"/>
    </row>
    <row r="7" spans="2:21" ht="31.5" customHeight="1" x14ac:dyDescent="0.3">
      <c r="B7" s="40" t="s">
        <v>0</v>
      </c>
      <c r="C7" s="41" t="s">
        <v>100</v>
      </c>
      <c r="D7" s="42" t="s">
        <v>81</v>
      </c>
      <c r="E7" s="42" t="s">
        <v>82</v>
      </c>
      <c r="F7" s="42" t="s">
        <v>83</v>
      </c>
      <c r="G7" s="42" t="s">
        <v>84</v>
      </c>
      <c r="H7" s="42" t="s">
        <v>85</v>
      </c>
      <c r="I7" s="43" t="s">
        <v>86</v>
      </c>
      <c r="J7" s="43" t="s">
        <v>87</v>
      </c>
      <c r="K7" s="43" t="s">
        <v>88</v>
      </c>
      <c r="L7" s="42" t="s">
        <v>89</v>
      </c>
      <c r="M7" s="42"/>
      <c r="N7" s="42"/>
      <c r="O7" s="42"/>
      <c r="T7" s="75"/>
      <c r="U7" s="75"/>
    </row>
    <row r="8" spans="2:21" x14ac:dyDescent="0.3">
      <c r="B8" s="44" t="s">
        <v>1</v>
      </c>
      <c r="C8" s="45"/>
      <c r="D8" s="45"/>
      <c r="E8" s="45"/>
      <c r="F8" s="45"/>
      <c r="G8" s="45"/>
      <c r="H8" s="45"/>
      <c r="I8" s="46"/>
      <c r="J8" s="46"/>
      <c r="K8" s="46"/>
      <c r="L8" s="47"/>
      <c r="M8" s="98"/>
      <c r="N8" s="98"/>
      <c r="O8" s="98"/>
      <c r="P8" s="76"/>
      <c r="Q8" s="76"/>
      <c r="R8" s="76"/>
      <c r="S8" s="76"/>
      <c r="T8" s="76"/>
      <c r="U8" s="76"/>
    </row>
    <row r="9" spans="2:21" x14ac:dyDescent="0.3">
      <c r="B9" s="48" t="s">
        <v>2</v>
      </c>
      <c r="C9" s="49"/>
      <c r="D9" s="50"/>
      <c r="E9" s="51"/>
      <c r="F9" s="51"/>
      <c r="G9" s="51"/>
      <c r="H9" s="51"/>
      <c r="I9" s="52"/>
      <c r="J9" s="52"/>
      <c r="K9" s="52"/>
      <c r="L9" s="49"/>
      <c r="M9" s="90"/>
      <c r="N9" s="90"/>
      <c r="O9" s="90"/>
    </row>
    <row r="10" spans="2:21" x14ac:dyDescent="0.3">
      <c r="B10" s="53" t="s">
        <v>3</v>
      </c>
      <c r="C10" s="49">
        <f t="shared" ref="C10:C41" si="0">SUM(D10:O10)</f>
        <v>509572288.19</v>
      </c>
      <c r="D10" s="54">
        <v>56760651</v>
      </c>
      <c r="E10" s="54">
        <f>36352883.37+1264404.54+96137.23+1549574.49+11110344.96+123914.89</f>
        <v>50497259.479999997</v>
      </c>
      <c r="F10" s="55">
        <f>36659231+22500+1549874+124779+9079160.5</f>
        <v>47435544.5</v>
      </c>
      <c r="G10" s="56">
        <v>46052232.760000005</v>
      </c>
      <c r="H10" s="51">
        <v>47188618.530000001</v>
      </c>
      <c r="I10" s="52">
        <v>48974728.460000001</v>
      </c>
      <c r="J10" s="52">
        <v>50220550.859999999</v>
      </c>
      <c r="K10" s="52">
        <v>79318950.400000006</v>
      </c>
      <c r="L10" s="49">
        <f>46342643+1891874+1857988+25479342+7754+7544151.2</f>
        <v>83123752.200000003</v>
      </c>
      <c r="M10" s="90"/>
      <c r="N10" s="90"/>
      <c r="O10" s="91"/>
    </row>
    <row r="11" spans="2:21" x14ac:dyDescent="0.3">
      <c r="B11" s="53" t="s">
        <v>4</v>
      </c>
      <c r="C11" s="49">
        <f t="shared" si="0"/>
        <v>9789928</v>
      </c>
      <c r="D11" s="55"/>
      <c r="E11" s="54"/>
      <c r="F11" s="55">
        <f>789928+1500000</f>
        <v>2289928</v>
      </c>
      <c r="G11" s="56">
        <v>1500000</v>
      </c>
      <c r="H11" s="51">
        <v>1500000</v>
      </c>
      <c r="I11" s="52"/>
      <c r="J11" s="52">
        <v>1500000</v>
      </c>
      <c r="K11" s="52">
        <v>1500000</v>
      </c>
      <c r="L11" s="49">
        <v>1500000</v>
      </c>
      <c r="M11" s="90"/>
      <c r="N11" s="92"/>
      <c r="O11" s="91"/>
    </row>
    <row r="12" spans="2:21" x14ac:dyDescent="0.3">
      <c r="B12" s="53" t="s">
        <v>39</v>
      </c>
      <c r="C12" s="49">
        <f t="shared" si="0"/>
        <v>2758488.45</v>
      </c>
      <c r="D12" s="55">
        <v>9500</v>
      </c>
      <c r="E12" s="54">
        <v>461000</v>
      </c>
      <c r="F12" s="55">
        <v>90011</v>
      </c>
      <c r="G12" s="56">
        <v>106350.5</v>
      </c>
      <c r="H12" s="51">
        <v>285969.08999999997</v>
      </c>
      <c r="I12" s="52">
        <v>654680.80000000005</v>
      </c>
      <c r="J12" s="52">
        <v>252572</v>
      </c>
      <c r="K12" s="52">
        <v>327182.06</v>
      </c>
      <c r="L12" s="49">
        <f>556210+15013</f>
        <v>571223</v>
      </c>
      <c r="M12" s="90"/>
      <c r="N12" s="93"/>
      <c r="O12" s="91"/>
    </row>
    <row r="13" spans="2:21" x14ac:dyDescent="0.3">
      <c r="B13" s="53" t="s">
        <v>5</v>
      </c>
      <c r="C13" s="49">
        <f t="shared" si="0"/>
        <v>0</v>
      </c>
      <c r="D13" s="57"/>
      <c r="E13" s="54"/>
      <c r="G13" s="56"/>
      <c r="H13" s="51"/>
      <c r="J13" s="52"/>
      <c r="K13" s="52"/>
      <c r="L13" s="49"/>
      <c r="M13" s="90"/>
      <c r="N13" s="92"/>
      <c r="O13" s="91"/>
    </row>
    <row r="14" spans="2:21" x14ac:dyDescent="0.3">
      <c r="B14" s="53" t="s">
        <v>6</v>
      </c>
      <c r="C14" s="49">
        <f t="shared" si="0"/>
        <v>84498437.669999987</v>
      </c>
      <c r="D14" s="57">
        <v>8969565.9499999993</v>
      </c>
      <c r="E14" s="54">
        <v>8893867.5600000005</v>
      </c>
      <c r="F14" s="56">
        <v>8945822.3100000005</v>
      </c>
      <c r="G14" s="56">
        <v>8968256.0300000012</v>
      </c>
      <c r="H14" s="51">
        <v>9446950.1799999997</v>
      </c>
      <c r="I14" s="38">
        <v>9825737.3900000006</v>
      </c>
      <c r="J14" s="52">
        <v>9953141.5500000007</v>
      </c>
      <c r="K14" s="52">
        <v>9482446.6600000001</v>
      </c>
      <c r="L14" s="49">
        <f>8610879+1401771.04</f>
        <v>10012650.039999999</v>
      </c>
      <c r="M14" s="90"/>
      <c r="N14" s="90"/>
      <c r="O14" s="91"/>
    </row>
    <row r="15" spans="2:21" x14ac:dyDescent="0.3">
      <c r="B15" s="48" t="s">
        <v>7</v>
      </c>
      <c r="C15" s="49">
        <f t="shared" si="0"/>
        <v>0</v>
      </c>
      <c r="D15" s="56"/>
      <c r="E15" s="54"/>
      <c r="F15" s="56"/>
      <c r="G15" s="56"/>
      <c r="H15" s="51"/>
      <c r="I15" s="52"/>
      <c r="J15" s="52"/>
      <c r="K15" s="52"/>
      <c r="L15" s="49"/>
      <c r="M15" s="90"/>
      <c r="N15" s="92"/>
      <c r="O15" s="91"/>
    </row>
    <row r="16" spans="2:21" x14ac:dyDescent="0.3">
      <c r="B16" s="53" t="s">
        <v>8</v>
      </c>
      <c r="C16" s="49">
        <f t="shared" si="0"/>
        <v>13847297.550000001</v>
      </c>
      <c r="D16" s="57">
        <v>1526973</v>
      </c>
      <c r="E16" s="54">
        <f>7339.93+713324.91+55158</f>
        <v>775822.84000000008</v>
      </c>
      <c r="F16" s="55">
        <f>810676+67204+3807+85276+57460</f>
        <v>1024423</v>
      </c>
      <c r="G16" s="56">
        <v>2120124.62</v>
      </c>
      <c r="H16" s="51">
        <f>789368.84+389752.9+3627.02</f>
        <v>1182748.76</v>
      </c>
      <c r="I16" s="38">
        <f>697144.57+660658.2</f>
        <v>1357802.77</v>
      </c>
      <c r="J16" s="52">
        <v>1687293.37</v>
      </c>
      <c r="K16" s="52">
        <v>2116520.14</v>
      </c>
      <c r="L16" s="49">
        <f>766795.26+9176+213113.83+101265.96+12757+2456+2580+902661+44784</f>
        <v>2055589.05</v>
      </c>
      <c r="M16" s="90"/>
      <c r="N16" s="90"/>
      <c r="O16" s="91"/>
    </row>
    <row r="17" spans="2:15" x14ac:dyDescent="0.3">
      <c r="B17" s="53" t="s">
        <v>9</v>
      </c>
      <c r="C17" s="49">
        <f>SUM(D17:O17)</f>
        <v>5285950.2799999993</v>
      </c>
      <c r="D17" s="55">
        <v>217305</v>
      </c>
      <c r="E17" s="54">
        <v>47224</v>
      </c>
      <c r="F17" s="55">
        <v>351139</v>
      </c>
      <c r="G17" s="56">
        <v>444341.56</v>
      </c>
      <c r="H17" s="51">
        <f>253934.49+113000</f>
        <v>366934.49</v>
      </c>
      <c r="I17" s="52">
        <v>62379.1</v>
      </c>
      <c r="J17" s="52">
        <v>860525.34000000008</v>
      </c>
      <c r="K17" s="52">
        <v>488384.82</v>
      </c>
      <c r="L17" s="49">
        <f>2409161.65+38555.32</f>
        <v>2447716.9699999997</v>
      </c>
      <c r="M17" s="90"/>
      <c r="N17" s="90"/>
      <c r="O17" s="91"/>
    </row>
    <row r="18" spans="2:15" ht="21" customHeight="1" x14ac:dyDescent="0.3">
      <c r="B18" s="53" t="s">
        <v>10</v>
      </c>
      <c r="C18" s="49">
        <f t="shared" si="0"/>
        <v>3295847.1400000006</v>
      </c>
      <c r="D18" s="57">
        <v>69742.2</v>
      </c>
      <c r="E18" s="54">
        <v>106605.4</v>
      </c>
      <c r="F18" s="55">
        <v>150410</v>
      </c>
      <c r="G18" s="56">
        <v>104582.9</v>
      </c>
      <c r="H18" s="51">
        <f>414598.2+1200+5700+5700+5700+5700+11257+9108.08</f>
        <v>458963.28</v>
      </c>
      <c r="I18" s="38">
        <v>286369.90000000002</v>
      </c>
      <c r="J18" s="52">
        <v>852910.41999999993</v>
      </c>
      <c r="K18" s="52">
        <v>638511.30000000005</v>
      </c>
      <c r="L18" s="49">
        <f>6780+620971.74</f>
        <v>627751.74</v>
      </c>
      <c r="M18" s="90"/>
      <c r="N18" s="94"/>
      <c r="O18" s="91"/>
    </row>
    <row r="19" spans="2:15" ht="27" customHeight="1" x14ac:dyDescent="0.3">
      <c r="B19" s="53" t="s">
        <v>11</v>
      </c>
      <c r="C19" s="49">
        <f t="shared" si="0"/>
        <v>323340.76</v>
      </c>
      <c r="D19" s="59">
        <v>30</v>
      </c>
      <c r="E19" s="54"/>
      <c r="F19" s="55">
        <f>10253+24134</f>
        <v>34387</v>
      </c>
      <c r="G19" s="56">
        <v>56120</v>
      </c>
      <c r="H19" s="51">
        <v>36449.94</v>
      </c>
      <c r="I19" s="52">
        <v>28405</v>
      </c>
      <c r="J19" s="52">
        <v>68166.16</v>
      </c>
      <c r="K19" s="52">
        <v>30156.77</v>
      </c>
      <c r="L19" s="49">
        <v>69625.89</v>
      </c>
      <c r="M19" s="90"/>
      <c r="N19" s="90"/>
      <c r="O19" s="91"/>
    </row>
    <row r="20" spans="2:15" x14ac:dyDescent="0.3">
      <c r="B20" s="53" t="s">
        <v>12</v>
      </c>
      <c r="C20" s="49">
        <f t="shared" si="0"/>
        <v>5928823.3100000005</v>
      </c>
      <c r="D20" s="57">
        <v>797951</v>
      </c>
      <c r="E20" s="54">
        <v>184914.8</v>
      </c>
      <c r="F20" s="55">
        <f>748250+90000+270058</f>
        <v>1108308</v>
      </c>
      <c r="G20" s="56">
        <v>292026.40000000002</v>
      </c>
      <c r="H20" s="51">
        <v>64908.33</v>
      </c>
      <c r="I20" s="38">
        <f>64560+834425.09</f>
        <v>898985.09</v>
      </c>
      <c r="J20" s="52">
        <v>892726.38</v>
      </c>
      <c r="K20" s="52">
        <v>191677</v>
      </c>
      <c r="L20" s="49">
        <v>1497326.31</v>
      </c>
      <c r="M20" s="90"/>
      <c r="N20" s="90"/>
      <c r="O20" s="91"/>
    </row>
    <row r="21" spans="2:15" x14ac:dyDescent="0.3">
      <c r="B21" s="53" t="s">
        <v>13</v>
      </c>
      <c r="C21" s="49">
        <f t="shared" si="0"/>
        <v>1616905.16</v>
      </c>
      <c r="D21" s="57"/>
      <c r="E21" s="54">
        <v>144979.76</v>
      </c>
      <c r="F21" s="56">
        <f>161658+745096</f>
        <v>906754</v>
      </c>
      <c r="G21" s="56">
        <v>239885.85</v>
      </c>
      <c r="H21" s="51">
        <v>106015.29</v>
      </c>
      <c r="I21" s="52">
        <v>109315.45</v>
      </c>
      <c r="J21" s="52">
        <v>11773.42</v>
      </c>
      <c r="K21" s="52">
        <v>11773.42</v>
      </c>
      <c r="L21" s="49">
        <v>86407.97</v>
      </c>
      <c r="M21" s="90"/>
      <c r="N21" s="90"/>
      <c r="O21" s="91"/>
    </row>
    <row r="22" spans="2:15" ht="37.5" x14ac:dyDescent="0.3">
      <c r="B22" s="53" t="s">
        <v>14</v>
      </c>
      <c r="C22" s="49">
        <f t="shared" si="0"/>
        <v>3460625.93</v>
      </c>
      <c r="D22" s="55">
        <v>339697</v>
      </c>
      <c r="E22" s="54">
        <f>18000+43278.7+375151.44</f>
        <v>436430.14</v>
      </c>
      <c r="F22" s="55">
        <f>25971+172290</f>
        <v>198261</v>
      </c>
      <c r="G22" s="56">
        <v>940400.28</v>
      </c>
      <c r="H22" s="51">
        <f>139153.97+270496.4</f>
        <v>409650.37</v>
      </c>
      <c r="I22" s="52">
        <f>42292.67+810+9640.51</f>
        <v>52743.18</v>
      </c>
      <c r="J22" s="52">
        <v>411143.74</v>
      </c>
      <c r="K22" s="52">
        <v>378353.33</v>
      </c>
      <c r="L22" s="49">
        <f>49537.25+28222.62+10030+206157.02</f>
        <v>293946.89</v>
      </c>
      <c r="M22" s="95"/>
      <c r="N22" s="90"/>
      <c r="O22" s="91"/>
    </row>
    <row r="23" spans="2:15" ht="37.5" x14ac:dyDescent="0.3">
      <c r="B23" s="53" t="s">
        <v>15</v>
      </c>
      <c r="C23" s="49">
        <f t="shared" si="0"/>
        <v>20511348.570000004</v>
      </c>
      <c r="D23" s="57">
        <v>2227278</v>
      </c>
      <c r="E23" s="54">
        <f>252000+1278019.03+94105.46</f>
        <v>1624124.49</v>
      </c>
      <c r="F23" s="55">
        <f>25000+115058+198298+85500+1639561.5</f>
        <v>2063417.5</v>
      </c>
      <c r="G23" s="56">
        <f>3000+104746.86</f>
        <v>107746.86</v>
      </c>
      <c r="H23" s="51">
        <v>602954</v>
      </c>
      <c r="I23" s="38">
        <f>121171.23+82483.22+80000+509760+117000</f>
        <v>910414.45</v>
      </c>
      <c r="J23" s="52">
        <v>3359318.9</v>
      </c>
      <c r="K23" s="52">
        <v>8489657.4600000009</v>
      </c>
      <c r="L23" s="49">
        <f>223264+403203.16+16100+177320+280840+25709.75</f>
        <v>1126436.9099999999</v>
      </c>
      <c r="M23" s="95"/>
      <c r="N23" s="90"/>
      <c r="O23" s="91"/>
    </row>
    <row r="24" spans="2:15" x14ac:dyDescent="0.3">
      <c r="B24" s="53" t="s">
        <v>40</v>
      </c>
      <c r="C24" s="49">
        <f t="shared" si="0"/>
        <v>57354.66</v>
      </c>
      <c r="D24" s="55"/>
      <c r="E24" s="54">
        <v>15000</v>
      </c>
      <c r="F24" s="55"/>
      <c r="G24" s="56">
        <v>12757.7</v>
      </c>
      <c r="H24" s="51">
        <v>29596.959999999999</v>
      </c>
      <c r="I24" s="52"/>
      <c r="J24" s="52"/>
      <c r="K24" s="52"/>
      <c r="L24" s="49"/>
      <c r="M24" s="90"/>
      <c r="N24" s="90"/>
      <c r="O24" s="91"/>
    </row>
    <row r="25" spans="2:15" x14ac:dyDescent="0.3">
      <c r="B25" s="48" t="s">
        <v>16</v>
      </c>
      <c r="C25" s="49">
        <f t="shared" si="0"/>
        <v>0</v>
      </c>
      <c r="D25" s="60"/>
      <c r="E25" s="54"/>
      <c r="G25" s="56"/>
      <c r="H25" s="51"/>
      <c r="J25" s="52"/>
      <c r="K25" s="52"/>
      <c r="L25" s="49"/>
      <c r="M25" s="90"/>
      <c r="N25" s="92"/>
      <c r="O25" s="91"/>
    </row>
    <row r="26" spans="2:15" x14ac:dyDescent="0.3">
      <c r="B26" s="53" t="s">
        <v>17</v>
      </c>
      <c r="C26" s="49">
        <f t="shared" si="0"/>
        <v>1913514.34</v>
      </c>
      <c r="D26" s="55">
        <v>134072.1</v>
      </c>
      <c r="E26" s="54"/>
      <c r="F26" s="55">
        <v>231211</v>
      </c>
      <c r="G26" s="56">
        <v>53013.67</v>
      </c>
      <c r="H26" s="51">
        <v>132151.38</v>
      </c>
      <c r="I26" s="52">
        <v>194665.38</v>
      </c>
      <c r="J26" s="52">
        <v>695448.59000000008</v>
      </c>
      <c r="K26" s="52">
        <v>102685.94</v>
      </c>
      <c r="L26" s="49">
        <f>367974.67+611.61+1680</f>
        <v>370266.27999999997</v>
      </c>
      <c r="M26" s="90"/>
      <c r="N26" s="91"/>
      <c r="O26" s="91"/>
    </row>
    <row r="27" spans="2:15" x14ac:dyDescent="0.3">
      <c r="B27" s="53" t="s">
        <v>18</v>
      </c>
      <c r="C27" s="49">
        <f t="shared" si="0"/>
        <v>158805</v>
      </c>
      <c r="D27" s="55"/>
      <c r="E27" s="54"/>
      <c r="F27" s="55"/>
      <c r="G27" s="56">
        <v>131193</v>
      </c>
      <c r="H27" s="51"/>
      <c r="I27" s="52"/>
      <c r="J27" s="52"/>
      <c r="K27" s="52">
        <v>27612</v>
      </c>
      <c r="L27" s="49"/>
      <c r="M27" s="90"/>
      <c r="N27" s="90"/>
      <c r="O27" s="91"/>
    </row>
    <row r="28" spans="2:15" x14ac:dyDescent="0.3">
      <c r="B28" s="53" t="s">
        <v>19</v>
      </c>
      <c r="C28" s="49">
        <f t="shared" si="0"/>
        <v>623007.17999999993</v>
      </c>
      <c r="D28" s="55"/>
      <c r="E28" s="54"/>
      <c r="F28" s="55">
        <v>138343</v>
      </c>
      <c r="G28" s="56">
        <v>25185.61</v>
      </c>
      <c r="H28" s="51">
        <v>37900.199999999997</v>
      </c>
      <c r="I28" s="52">
        <v>67948.27</v>
      </c>
      <c r="J28" s="52">
        <v>353630.1</v>
      </c>
      <c r="K28" s="52"/>
      <c r="L28" s="49"/>
      <c r="M28" s="90"/>
      <c r="N28" s="92"/>
      <c r="O28" s="91"/>
    </row>
    <row r="29" spans="2:15" x14ac:dyDescent="0.3">
      <c r="B29" s="53" t="s">
        <v>20</v>
      </c>
      <c r="C29" s="49">
        <f t="shared" si="0"/>
        <v>744746.59</v>
      </c>
      <c r="D29" s="55"/>
      <c r="E29" s="54"/>
      <c r="F29" s="55"/>
      <c r="G29" s="56">
        <v>196175</v>
      </c>
      <c r="H29" s="51">
        <v>1118.6500000000001</v>
      </c>
      <c r="I29" s="52">
        <v>118240.15</v>
      </c>
      <c r="J29" s="52">
        <v>2222.2399999999998</v>
      </c>
      <c r="K29" s="38">
        <v>4997.5</v>
      </c>
      <c r="L29" s="49">
        <f>19394.14+402598.91</f>
        <v>421993.05</v>
      </c>
      <c r="M29" s="90"/>
      <c r="N29" s="92"/>
      <c r="O29" s="91"/>
    </row>
    <row r="30" spans="2:15" x14ac:dyDescent="0.3">
      <c r="B30" s="53" t="s">
        <v>21</v>
      </c>
      <c r="C30" s="49">
        <f t="shared" si="0"/>
        <v>265504</v>
      </c>
      <c r="D30" s="55"/>
      <c r="E30" s="54"/>
      <c r="F30" s="55">
        <v>265504</v>
      </c>
      <c r="G30" s="56"/>
      <c r="H30" s="51"/>
      <c r="I30" s="52"/>
      <c r="J30" s="52"/>
      <c r="K30" s="52"/>
      <c r="L30" s="49"/>
      <c r="M30" s="90"/>
      <c r="N30" s="92"/>
      <c r="O30" s="91"/>
    </row>
    <row r="31" spans="2:15" ht="18" customHeight="1" x14ac:dyDescent="0.3">
      <c r="B31" s="53" t="s">
        <v>22</v>
      </c>
      <c r="C31" s="49">
        <f t="shared" si="0"/>
        <v>1337353.24</v>
      </c>
      <c r="D31" s="55"/>
      <c r="E31" s="54"/>
      <c r="F31" s="55"/>
      <c r="G31" s="56">
        <v>471396.49</v>
      </c>
      <c r="H31" s="51">
        <v>150392.35</v>
      </c>
      <c r="I31" s="52">
        <f>45966.14+555795.49+28893.49</f>
        <v>630655.12</v>
      </c>
      <c r="J31" s="52">
        <v>78210.570000000007</v>
      </c>
      <c r="K31" s="52">
        <v>6698.71</v>
      </c>
      <c r="L31" s="49"/>
      <c r="M31" s="94"/>
      <c r="N31" s="92"/>
      <c r="O31" s="91"/>
    </row>
    <row r="32" spans="2:15" ht="37.5" x14ac:dyDescent="0.3">
      <c r="B32" s="53" t="s">
        <v>23</v>
      </c>
      <c r="C32" s="49">
        <f t="shared" si="0"/>
        <v>4582881.2</v>
      </c>
      <c r="D32" s="55">
        <v>5600</v>
      </c>
      <c r="E32" s="54">
        <f>292125+121976.64</f>
        <v>414101.64</v>
      </c>
      <c r="F32" s="55">
        <f>196026+447506.5</f>
        <v>643532.5</v>
      </c>
      <c r="G32" s="56">
        <v>54484.39</v>
      </c>
      <c r="H32" s="51">
        <v>85979.6</v>
      </c>
      <c r="I32" s="52">
        <f>319051.73+514195.45+4500+132652.2</f>
        <v>970399.37999999989</v>
      </c>
      <c r="J32" s="52">
        <v>614664.93000000005</v>
      </c>
      <c r="K32" s="52">
        <v>835240.32</v>
      </c>
      <c r="L32" s="49">
        <f>912706.54+1975+44196.9</f>
        <v>958878.44000000006</v>
      </c>
      <c r="M32" s="94"/>
      <c r="N32" s="90"/>
      <c r="O32" s="91"/>
    </row>
    <row r="33" spans="2:15" ht="37.5" x14ac:dyDescent="0.3">
      <c r="B33" s="53" t="s">
        <v>41</v>
      </c>
      <c r="C33" s="49">
        <f t="shared" si="0"/>
        <v>0</v>
      </c>
      <c r="D33" s="55"/>
      <c r="E33" s="54"/>
      <c r="F33" s="55"/>
      <c r="G33" s="56"/>
      <c r="H33" s="51"/>
      <c r="I33" s="52"/>
      <c r="J33" s="52"/>
      <c r="K33" s="52"/>
      <c r="L33" s="49"/>
      <c r="M33" s="94"/>
      <c r="N33" s="92"/>
      <c r="O33" s="91"/>
    </row>
    <row r="34" spans="2:15" x14ac:dyDescent="0.3">
      <c r="B34" s="53" t="s">
        <v>24</v>
      </c>
      <c r="C34" s="49">
        <f t="shared" si="0"/>
        <v>7356754.2399999993</v>
      </c>
      <c r="D34" s="57">
        <v>508122</v>
      </c>
      <c r="E34" s="54"/>
      <c r="F34" s="55">
        <f>188817+368188+2490+1966+4417+453668</f>
        <v>1019546</v>
      </c>
      <c r="G34" s="56">
        <v>537006.14</v>
      </c>
      <c r="H34" s="51">
        <v>490216</v>
      </c>
      <c r="I34" s="38">
        <f>329611.02+59453.45+209990.24+34465.02+59325</f>
        <v>692844.73</v>
      </c>
      <c r="J34" s="52">
        <v>921534.38000000012</v>
      </c>
      <c r="K34" s="52">
        <v>400347.56</v>
      </c>
      <c r="L34" s="49">
        <f>167795.88+527813.14+80600.1+2005835.96+1920+2017.8+1154.55</f>
        <v>2787137.4299999997</v>
      </c>
      <c r="M34" s="94"/>
      <c r="N34" s="90"/>
      <c r="O34" s="91"/>
    </row>
    <row r="35" spans="2:15" x14ac:dyDescent="0.3">
      <c r="B35" s="48" t="s">
        <v>25</v>
      </c>
      <c r="C35" s="49">
        <f t="shared" si="0"/>
        <v>0</v>
      </c>
      <c r="D35" s="60"/>
      <c r="E35" s="54"/>
      <c r="G35" s="56"/>
      <c r="H35" s="51"/>
      <c r="J35" s="52"/>
      <c r="K35" s="52"/>
      <c r="L35" s="49"/>
      <c r="M35" s="94"/>
      <c r="N35" s="92"/>
      <c r="O35" s="91"/>
    </row>
    <row r="36" spans="2:15" x14ac:dyDescent="0.3">
      <c r="B36" s="53" t="s">
        <v>26</v>
      </c>
      <c r="C36" s="49">
        <f t="shared" si="0"/>
        <v>17315873.990000002</v>
      </c>
      <c r="D36" s="57">
        <v>339552</v>
      </c>
      <c r="E36" s="54">
        <v>1927212.96</v>
      </c>
      <c r="F36" s="55">
        <v>1542380</v>
      </c>
      <c r="G36" s="56">
        <v>1177779.1200000001</v>
      </c>
      <c r="H36" s="38">
        <v>9467567.9499999993</v>
      </c>
      <c r="I36" s="38">
        <v>505751.96</v>
      </c>
      <c r="J36" s="52">
        <v>1007000</v>
      </c>
      <c r="K36" s="52">
        <v>900430</v>
      </c>
      <c r="L36" s="49">
        <v>448200</v>
      </c>
      <c r="M36" s="94"/>
      <c r="N36" s="91"/>
      <c r="O36" s="91"/>
    </row>
    <row r="37" spans="2:15" ht="37.5" x14ac:dyDescent="0.3">
      <c r="B37" s="53" t="s">
        <v>42</v>
      </c>
      <c r="C37" s="49">
        <f t="shared" si="0"/>
        <v>0</v>
      </c>
      <c r="D37" s="57"/>
      <c r="E37" s="54"/>
      <c r="G37" s="56"/>
      <c r="H37" s="51"/>
      <c r="J37" s="52"/>
      <c r="K37" s="52"/>
      <c r="L37" s="49"/>
      <c r="M37" s="94"/>
      <c r="N37" s="92"/>
      <c r="O37" s="91"/>
    </row>
    <row r="38" spans="2:15" ht="37.5" x14ac:dyDescent="0.3">
      <c r="B38" s="53" t="s">
        <v>43</v>
      </c>
      <c r="C38" s="49">
        <f t="shared" si="0"/>
        <v>0</v>
      </c>
      <c r="D38" s="55"/>
      <c r="E38" s="54"/>
      <c r="F38" s="55"/>
      <c r="G38" s="56"/>
      <c r="H38" s="51"/>
      <c r="I38" s="52"/>
      <c r="J38" s="52"/>
      <c r="K38" s="52"/>
      <c r="L38" s="49"/>
      <c r="M38" s="94"/>
      <c r="N38" s="92"/>
      <c r="O38" s="91"/>
    </row>
    <row r="39" spans="2:15" ht="37.5" x14ac:dyDescent="0.3">
      <c r="B39" s="53" t="s">
        <v>44</v>
      </c>
      <c r="C39" s="49">
        <f t="shared" si="0"/>
        <v>0</v>
      </c>
      <c r="D39" s="55"/>
      <c r="E39" s="54"/>
      <c r="F39" s="55"/>
      <c r="G39" s="56"/>
      <c r="H39" s="51"/>
      <c r="I39" s="52"/>
      <c r="J39" s="52"/>
      <c r="K39" s="52"/>
      <c r="L39" s="49"/>
      <c r="M39" s="94"/>
      <c r="N39" s="92"/>
      <c r="O39" s="91"/>
    </row>
    <row r="40" spans="2:15" ht="37.5" x14ac:dyDescent="0.3">
      <c r="B40" s="53" t="s">
        <v>45</v>
      </c>
      <c r="C40" s="49">
        <f t="shared" si="0"/>
        <v>0</v>
      </c>
      <c r="D40" s="55"/>
      <c r="E40" s="54"/>
      <c r="F40" s="55"/>
      <c r="G40" s="56"/>
      <c r="H40" s="51"/>
      <c r="I40" s="52"/>
      <c r="J40" s="52"/>
      <c r="K40" s="52"/>
      <c r="L40" s="49"/>
      <c r="M40" s="94"/>
      <c r="N40" s="92"/>
      <c r="O40" s="91"/>
    </row>
    <row r="41" spans="2:15" x14ac:dyDescent="0.3">
      <c r="B41" s="53" t="s">
        <v>27</v>
      </c>
      <c r="C41" s="49">
        <f t="shared" si="0"/>
        <v>11996213.550000001</v>
      </c>
      <c r="D41" s="55"/>
      <c r="E41" s="54"/>
      <c r="F41" s="55"/>
      <c r="G41" s="56"/>
      <c r="H41" s="51"/>
      <c r="I41" s="52">
        <v>4514562</v>
      </c>
      <c r="J41" s="52">
        <v>698100</v>
      </c>
      <c r="K41" s="52"/>
      <c r="L41" s="49">
        <v>6783551.5499999998</v>
      </c>
      <c r="M41" s="94"/>
      <c r="N41" s="92"/>
      <c r="O41" s="91"/>
    </row>
    <row r="42" spans="2:15" ht="37.5" x14ac:dyDescent="0.3">
      <c r="B42" s="53" t="s">
        <v>46</v>
      </c>
      <c r="C42" s="49">
        <f t="shared" ref="C42:C72" si="1">SUM(D42:O42)</f>
        <v>0</v>
      </c>
      <c r="D42" s="55"/>
      <c r="E42" s="54"/>
      <c r="F42" s="55"/>
      <c r="G42" s="56"/>
      <c r="H42" s="51"/>
      <c r="I42" s="52"/>
      <c r="J42" s="52"/>
      <c r="K42" s="52"/>
      <c r="L42" s="49"/>
      <c r="M42" s="94"/>
      <c r="N42" s="92"/>
      <c r="O42" s="91"/>
    </row>
    <row r="43" spans="2:15" x14ac:dyDescent="0.3">
      <c r="B43" s="48" t="s">
        <v>47</v>
      </c>
      <c r="C43" s="49">
        <f t="shared" si="1"/>
        <v>0</v>
      </c>
      <c r="D43" s="55"/>
      <c r="E43" s="54"/>
      <c r="F43" s="55"/>
      <c r="G43" s="56"/>
      <c r="H43" s="51"/>
      <c r="I43" s="52"/>
      <c r="J43" s="52"/>
      <c r="K43" s="52"/>
      <c r="L43" s="49"/>
      <c r="M43" s="94"/>
      <c r="N43" s="92"/>
      <c r="O43" s="91"/>
    </row>
    <row r="44" spans="2:15" x14ac:dyDescent="0.3">
      <c r="B44" s="53" t="s">
        <v>48</v>
      </c>
      <c r="C44" s="49">
        <f t="shared" si="1"/>
        <v>0</v>
      </c>
      <c r="D44" s="55"/>
      <c r="E44" s="54"/>
      <c r="F44" s="55"/>
      <c r="G44" s="56"/>
      <c r="H44" s="51"/>
      <c r="I44" s="52"/>
      <c r="J44" s="52"/>
      <c r="K44" s="52"/>
      <c r="L44" s="49"/>
      <c r="M44" s="94"/>
      <c r="N44" s="92"/>
      <c r="O44" s="91"/>
    </row>
    <row r="45" spans="2:15" ht="37.5" x14ac:dyDescent="0.3">
      <c r="B45" s="53" t="s">
        <v>49</v>
      </c>
      <c r="C45" s="49">
        <f t="shared" si="1"/>
        <v>0</v>
      </c>
      <c r="D45" s="55"/>
      <c r="E45" s="54"/>
      <c r="F45" s="55"/>
      <c r="G45" s="56"/>
      <c r="H45" s="51"/>
      <c r="I45" s="52"/>
      <c r="J45" s="52"/>
      <c r="K45" s="52"/>
      <c r="L45" s="49"/>
      <c r="M45" s="94"/>
      <c r="N45" s="92"/>
      <c r="O45" s="91"/>
    </row>
    <row r="46" spans="2:15" ht="37.5" x14ac:dyDescent="0.3">
      <c r="B46" s="53" t="s">
        <v>50</v>
      </c>
      <c r="C46" s="49">
        <f t="shared" si="1"/>
        <v>0</v>
      </c>
      <c r="D46" s="55"/>
      <c r="E46" s="54"/>
      <c r="F46" s="55"/>
      <c r="G46" s="56"/>
      <c r="H46" s="51"/>
      <c r="I46" s="52"/>
      <c r="J46" s="52"/>
      <c r="K46" s="52"/>
      <c r="L46" s="49"/>
      <c r="M46" s="94"/>
      <c r="N46" s="92"/>
      <c r="O46" s="91"/>
    </row>
    <row r="47" spans="2:15" ht="37.5" x14ac:dyDescent="0.3">
      <c r="B47" s="53" t="s">
        <v>51</v>
      </c>
      <c r="C47" s="49">
        <f t="shared" si="1"/>
        <v>0</v>
      </c>
      <c r="D47" s="55"/>
      <c r="E47" s="54"/>
      <c r="F47" s="55"/>
      <c r="G47" s="56"/>
      <c r="H47" s="51"/>
      <c r="I47" s="52"/>
      <c r="J47" s="52"/>
      <c r="K47" s="52"/>
      <c r="L47" s="49"/>
      <c r="M47" s="94"/>
      <c r="N47" s="92"/>
      <c r="O47" s="91"/>
    </row>
    <row r="48" spans="2:15" ht="37.5" x14ac:dyDescent="0.3">
      <c r="B48" s="53" t="s">
        <v>52</v>
      </c>
      <c r="C48" s="49">
        <f t="shared" si="1"/>
        <v>0</v>
      </c>
      <c r="D48" s="55"/>
      <c r="E48" s="54"/>
      <c r="F48" s="55"/>
      <c r="G48" s="56"/>
      <c r="H48" s="51"/>
      <c r="I48" s="52"/>
      <c r="J48" s="52"/>
      <c r="K48" s="52"/>
      <c r="L48" s="49"/>
      <c r="M48" s="94"/>
      <c r="N48" s="92"/>
      <c r="O48" s="91"/>
    </row>
    <row r="49" spans="2:15" x14ac:dyDescent="0.3">
      <c r="B49" s="53" t="s">
        <v>53</v>
      </c>
      <c r="C49" s="49">
        <f t="shared" si="1"/>
        <v>0</v>
      </c>
      <c r="D49" s="55"/>
      <c r="E49" s="54"/>
      <c r="F49" s="55"/>
      <c r="G49" s="56"/>
      <c r="H49" s="51"/>
      <c r="I49" s="52"/>
      <c r="J49" s="52"/>
      <c r="K49" s="52"/>
      <c r="L49" s="49"/>
      <c r="M49" s="94"/>
      <c r="N49" s="92"/>
      <c r="O49" s="91"/>
    </row>
    <row r="50" spans="2:15" ht="37.5" x14ac:dyDescent="0.3">
      <c r="B50" s="53" t="s">
        <v>54</v>
      </c>
      <c r="C50" s="49">
        <f t="shared" si="1"/>
        <v>0</v>
      </c>
      <c r="D50" s="55"/>
      <c r="E50" s="54"/>
      <c r="F50" s="55"/>
      <c r="G50" s="56"/>
      <c r="H50" s="51"/>
      <c r="I50" s="52"/>
      <c r="J50" s="52"/>
      <c r="K50" s="52"/>
      <c r="L50" s="49"/>
      <c r="M50" s="94"/>
      <c r="N50" s="92"/>
      <c r="O50" s="91"/>
    </row>
    <row r="51" spans="2:15" x14ac:dyDescent="0.3">
      <c r="B51" s="48" t="s">
        <v>28</v>
      </c>
      <c r="C51" s="49">
        <f t="shared" si="1"/>
        <v>0</v>
      </c>
      <c r="D51" s="60"/>
      <c r="E51" s="54"/>
      <c r="G51" s="56"/>
      <c r="H51" s="51"/>
      <c r="J51" s="52"/>
      <c r="K51" s="52"/>
      <c r="L51" s="49"/>
      <c r="M51" s="94"/>
      <c r="N51" s="92"/>
      <c r="O51" s="91"/>
    </row>
    <row r="52" spans="2:15" x14ac:dyDescent="0.3">
      <c r="B52" s="53" t="s">
        <v>29</v>
      </c>
      <c r="C52" s="49">
        <f t="shared" si="1"/>
        <v>2894483.84</v>
      </c>
      <c r="D52" s="55">
        <v>55029</v>
      </c>
      <c r="E52" s="54"/>
      <c r="F52" s="55">
        <f>97595+19328</f>
        <v>116923</v>
      </c>
      <c r="G52" s="56"/>
      <c r="H52" s="51">
        <v>384690.49</v>
      </c>
      <c r="I52" s="52">
        <f>39473.16+761592.15</f>
        <v>801065.31</v>
      </c>
      <c r="J52" s="52">
        <v>1155918.17</v>
      </c>
      <c r="K52" s="52"/>
      <c r="L52" s="49">
        <f>163898.02+216959.85</f>
        <v>380857.87</v>
      </c>
      <c r="M52" s="94"/>
      <c r="N52" s="92"/>
      <c r="O52" s="91"/>
    </row>
    <row r="53" spans="2:15" x14ac:dyDescent="0.3">
      <c r="B53" s="53" t="s">
        <v>30</v>
      </c>
      <c r="C53" s="49">
        <f t="shared" si="1"/>
        <v>10948.4</v>
      </c>
      <c r="D53" s="55">
        <v>10948.4</v>
      </c>
      <c r="E53" s="54"/>
      <c r="F53" s="55"/>
      <c r="G53" s="56"/>
      <c r="H53" s="51"/>
      <c r="I53" s="52"/>
      <c r="J53" s="52"/>
      <c r="K53" s="52"/>
      <c r="L53" s="49"/>
      <c r="M53" s="94"/>
      <c r="N53" s="92"/>
      <c r="O53" s="91"/>
    </row>
    <row r="54" spans="2:15" x14ac:dyDescent="0.3">
      <c r="B54" s="53" t="s">
        <v>31</v>
      </c>
      <c r="C54" s="49">
        <f t="shared" si="1"/>
        <v>27454.39</v>
      </c>
      <c r="D54" s="55"/>
      <c r="E54" s="54"/>
      <c r="F54" s="55"/>
      <c r="G54" s="55">
        <v>25929.85</v>
      </c>
      <c r="H54" s="51">
        <v>1524.54</v>
      </c>
      <c r="I54" s="52"/>
      <c r="J54" s="52"/>
      <c r="K54" s="52"/>
      <c r="L54" s="49"/>
      <c r="M54" s="94"/>
      <c r="N54" s="92"/>
      <c r="O54" s="91"/>
    </row>
    <row r="55" spans="2:15" ht="37.5" x14ac:dyDescent="0.3">
      <c r="B55" s="53" t="s">
        <v>32</v>
      </c>
      <c r="C55" s="49">
        <f t="shared" si="1"/>
        <v>185279.2</v>
      </c>
      <c r="D55" s="55"/>
      <c r="E55" s="54"/>
      <c r="F55" s="55"/>
      <c r="G55" s="56"/>
      <c r="H55" s="51">
        <v>185279.2</v>
      </c>
      <c r="I55" s="52"/>
      <c r="J55" s="52"/>
      <c r="K55" s="52"/>
      <c r="L55" s="49"/>
      <c r="M55" s="94"/>
      <c r="N55" s="92"/>
      <c r="O55" s="91"/>
    </row>
    <row r="56" spans="2:15" x14ac:dyDescent="0.3">
      <c r="B56" s="53" t="s">
        <v>33</v>
      </c>
      <c r="C56" s="49">
        <f t="shared" si="1"/>
        <v>865483.49</v>
      </c>
      <c r="D56" s="55"/>
      <c r="E56" s="54"/>
      <c r="F56" s="55">
        <v>716784</v>
      </c>
      <c r="G56" s="56"/>
      <c r="H56" s="51">
        <v>118458.49</v>
      </c>
      <c r="I56" s="52"/>
      <c r="J56" s="52"/>
      <c r="K56" s="52">
        <v>15120</v>
      </c>
      <c r="L56" s="49">
        <v>15121</v>
      </c>
      <c r="M56" s="94"/>
      <c r="N56" s="92"/>
      <c r="O56" s="91"/>
    </row>
    <row r="57" spans="2:15" x14ac:dyDescent="0.3">
      <c r="B57" s="53" t="s">
        <v>55</v>
      </c>
      <c r="C57" s="49">
        <f t="shared" si="1"/>
        <v>138723.66</v>
      </c>
      <c r="D57" s="55">
        <v>5594.82</v>
      </c>
      <c r="E57" s="54"/>
      <c r="F57" s="55"/>
      <c r="G57" s="56"/>
      <c r="H57" s="51"/>
      <c r="I57" s="52"/>
      <c r="J57" s="52"/>
      <c r="K57" s="52">
        <v>133128.84</v>
      </c>
      <c r="L57" s="49"/>
      <c r="M57" s="94"/>
      <c r="N57" s="92"/>
      <c r="O57" s="91"/>
    </row>
    <row r="58" spans="2:15" x14ac:dyDescent="0.3">
      <c r="B58" s="53" t="s">
        <v>56</v>
      </c>
      <c r="C58" s="49">
        <f t="shared" si="1"/>
        <v>0</v>
      </c>
      <c r="D58" s="55"/>
      <c r="E58" s="54"/>
      <c r="F58" s="55"/>
      <c r="G58" s="56"/>
      <c r="H58" s="51"/>
      <c r="I58" s="52"/>
      <c r="J58" s="52"/>
      <c r="K58" s="52"/>
      <c r="L58" s="49"/>
      <c r="M58" s="94"/>
      <c r="N58" s="92"/>
      <c r="O58" s="91"/>
    </row>
    <row r="59" spans="2:15" x14ac:dyDescent="0.3">
      <c r="B59" s="53" t="s">
        <v>34</v>
      </c>
      <c r="C59" s="49">
        <f t="shared" si="1"/>
        <v>185315.7</v>
      </c>
      <c r="D59" s="55">
        <v>139880</v>
      </c>
      <c r="E59" s="54"/>
      <c r="F59" s="55"/>
      <c r="G59" s="56">
        <v>20000</v>
      </c>
      <c r="H59" s="51">
        <v>25435.7</v>
      </c>
      <c r="I59" s="52"/>
      <c r="J59" s="52"/>
      <c r="K59" s="52"/>
      <c r="L59" s="49"/>
      <c r="M59" s="94"/>
      <c r="N59" s="92"/>
      <c r="O59" s="91"/>
    </row>
    <row r="60" spans="2:15" ht="37.5" x14ac:dyDescent="0.3">
      <c r="B60" s="53" t="s">
        <v>57</v>
      </c>
      <c r="C60" s="49">
        <f t="shared" si="1"/>
        <v>0</v>
      </c>
      <c r="D60" s="55"/>
      <c r="E60" s="54"/>
      <c r="F60" s="55"/>
      <c r="G60" s="56"/>
      <c r="H60" s="51"/>
      <c r="I60" s="52"/>
      <c r="J60" s="52"/>
      <c r="K60" s="52"/>
      <c r="L60" s="49"/>
      <c r="M60" s="94"/>
      <c r="N60" s="92"/>
      <c r="O60" s="91"/>
    </row>
    <row r="61" spans="2:15" x14ac:dyDescent="0.3">
      <c r="B61" s="48" t="s">
        <v>58</v>
      </c>
      <c r="C61" s="49">
        <f t="shared" si="1"/>
        <v>0</v>
      </c>
      <c r="D61" s="55"/>
      <c r="E61" s="54"/>
      <c r="F61" s="55"/>
      <c r="G61" s="56"/>
      <c r="H61" s="51"/>
      <c r="I61" s="52"/>
      <c r="J61" s="52"/>
      <c r="K61" s="52"/>
      <c r="L61" s="49"/>
      <c r="M61" s="94"/>
      <c r="N61" s="92"/>
      <c r="O61" s="91"/>
    </row>
    <row r="62" spans="2:15" x14ac:dyDescent="0.3">
      <c r="B62" s="53" t="s">
        <v>59</v>
      </c>
      <c r="C62" s="49">
        <f t="shared" si="1"/>
        <v>0</v>
      </c>
      <c r="D62" s="55"/>
      <c r="E62" s="54"/>
      <c r="F62" s="55"/>
      <c r="G62" s="56"/>
      <c r="H62" s="51"/>
      <c r="I62" s="52"/>
      <c r="J62" s="52"/>
      <c r="K62" s="52"/>
      <c r="L62" s="49"/>
      <c r="M62" s="94"/>
      <c r="N62" s="92"/>
      <c r="O62" s="91"/>
    </row>
    <row r="63" spans="2:15" x14ac:dyDescent="0.3">
      <c r="B63" s="53" t="s">
        <v>60</v>
      </c>
      <c r="C63" s="49">
        <f t="shared" si="1"/>
        <v>0</v>
      </c>
      <c r="D63" s="55"/>
      <c r="E63" s="54"/>
      <c r="F63" s="55"/>
      <c r="G63" s="56"/>
      <c r="H63" s="51"/>
      <c r="I63" s="52"/>
      <c r="J63" s="52"/>
      <c r="K63" s="52"/>
      <c r="L63" s="49"/>
      <c r="M63" s="94"/>
      <c r="N63" s="92"/>
      <c r="O63" s="91"/>
    </row>
    <row r="64" spans="2:15" x14ac:dyDescent="0.3">
      <c r="B64" s="53" t="s">
        <v>61</v>
      </c>
      <c r="C64" s="49">
        <f t="shared" si="1"/>
        <v>0</v>
      </c>
      <c r="D64" s="55"/>
      <c r="E64" s="54"/>
      <c r="F64" s="55"/>
      <c r="G64" s="56"/>
      <c r="H64" s="51"/>
      <c r="I64" s="52"/>
      <c r="J64" s="52"/>
      <c r="K64" s="52"/>
      <c r="L64" s="49"/>
      <c r="M64" s="94"/>
      <c r="N64" s="92"/>
      <c r="O64" s="91"/>
    </row>
    <row r="65" spans="2:15" ht="37.5" x14ac:dyDescent="0.3">
      <c r="B65" s="53" t="s">
        <v>62</v>
      </c>
      <c r="C65" s="49">
        <f t="shared" si="1"/>
        <v>0</v>
      </c>
      <c r="D65" s="55"/>
      <c r="E65" s="54"/>
      <c r="F65" s="55"/>
      <c r="G65" s="56"/>
      <c r="H65" s="51"/>
      <c r="I65" s="52"/>
      <c r="J65" s="52"/>
      <c r="K65" s="52"/>
      <c r="L65" s="49"/>
      <c r="M65" s="94"/>
      <c r="N65" s="92"/>
      <c r="O65" s="91"/>
    </row>
    <row r="66" spans="2:15" x14ac:dyDescent="0.3">
      <c r="B66" s="48" t="s">
        <v>63</v>
      </c>
      <c r="C66" s="49">
        <f t="shared" si="1"/>
        <v>0</v>
      </c>
      <c r="D66" s="55"/>
      <c r="E66" s="54"/>
      <c r="F66" s="55"/>
      <c r="G66" s="56"/>
      <c r="H66" s="51"/>
      <c r="I66" s="52"/>
      <c r="J66" s="52"/>
      <c r="K66" s="52"/>
      <c r="L66" s="49"/>
      <c r="M66" s="94"/>
      <c r="N66" s="92"/>
      <c r="O66" s="91"/>
    </row>
    <row r="67" spans="2:15" x14ac:dyDescent="0.3">
      <c r="B67" s="53" t="s">
        <v>64</v>
      </c>
      <c r="C67" s="49">
        <f t="shared" si="1"/>
        <v>0</v>
      </c>
      <c r="D67" s="55"/>
      <c r="E67" s="54"/>
      <c r="F67" s="55"/>
      <c r="G67" s="56"/>
      <c r="H67" s="51"/>
      <c r="I67" s="52"/>
      <c r="J67" s="52"/>
      <c r="K67" s="52"/>
      <c r="L67" s="49"/>
      <c r="M67" s="94"/>
      <c r="N67" s="92"/>
      <c r="O67" s="91"/>
    </row>
    <row r="68" spans="2:15" ht="37.5" x14ac:dyDescent="0.3">
      <c r="B68" s="53" t="s">
        <v>65</v>
      </c>
      <c r="C68" s="49">
        <f t="shared" si="1"/>
        <v>0</v>
      </c>
      <c r="D68" s="55"/>
      <c r="E68" s="54"/>
      <c r="F68" s="55"/>
      <c r="G68" s="56"/>
      <c r="H68" s="51"/>
      <c r="I68" s="52"/>
      <c r="J68" s="52"/>
      <c r="K68" s="52"/>
      <c r="L68" s="49"/>
      <c r="M68" s="94"/>
      <c r="N68" s="92"/>
      <c r="O68" s="91"/>
    </row>
    <row r="69" spans="2:15" x14ac:dyDescent="0.3">
      <c r="B69" s="48" t="s">
        <v>66</v>
      </c>
      <c r="C69" s="49">
        <f t="shared" si="1"/>
        <v>0</v>
      </c>
      <c r="D69" s="55"/>
      <c r="E69" s="54"/>
      <c r="F69" s="55"/>
      <c r="G69" s="56"/>
      <c r="H69" s="51"/>
      <c r="I69" s="52"/>
      <c r="J69" s="52"/>
      <c r="K69" s="52"/>
      <c r="L69" s="49"/>
      <c r="M69" s="94"/>
      <c r="N69" s="92"/>
      <c r="O69" s="91"/>
    </row>
    <row r="70" spans="2:15" x14ac:dyDescent="0.3">
      <c r="B70" s="53" t="s">
        <v>67</v>
      </c>
      <c r="C70" s="49">
        <f t="shared" si="1"/>
        <v>0</v>
      </c>
      <c r="D70" s="55"/>
      <c r="E70" s="54"/>
      <c r="F70" s="55"/>
      <c r="G70" s="56"/>
      <c r="H70" s="51"/>
      <c r="I70" s="52"/>
      <c r="J70" s="52"/>
      <c r="K70" s="52"/>
      <c r="L70" s="49"/>
      <c r="M70" s="94"/>
      <c r="N70" s="92"/>
      <c r="O70" s="91"/>
    </row>
    <row r="71" spans="2:15" x14ac:dyDescent="0.3">
      <c r="B71" s="53" t="s">
        <v>68</v>
      </c>
      <c r="C71" s="49">
        <f t="shared" si="1"/>
        <v>0</v>
      </c>
      <c r="D71" s="55"/>
      <c r="E71" s="54"/>
      <c r="F71" s="55"/>
      <c r="G71" s="56"/>
      <c r="H71" s="51"/>
      <c r="I71" s="52"/>
      <c r="J71" s="52"/>
      <c r="K71" s="52"/>
      <c r="L71" s="49"/>
      <c r="M71" s="94"/>
      <c r="N71" s="92"/>
      <c r="O71" s="91"/>
    </row>
    <row r="72" spans="2:15" ht="37.5" x14ac:dyDescent="0.3">
      <c r="B72" s="53" t="s">
        <v>69</v>
      </c>
      <c r="C72" s="49">
        <f t="shared" si="1"/>
        <v>0</v>
      </c>
      <c r="D72" s="55"/>
      <c r="E72" s="54"/>
      <c r="F72" s="55"/>
      <c r="G72" s="56"/>
      <c r="H72" s="51"/>
      <c r="I72" s="52"/>
      <c r="J72" s="52"/>
      <c r="K72" s="52"/>
      <c r="L72" s="49"/>
      <c r="M72" s="94"/>
      <c r="N72" s="92"/>
      <c r="O72" s="91"/>
    </row>
    <row r="73" spans="2:15" x14ac:dyDescent="0.3">
      <c r="B73" s="61" t="s">
        <v>35</v>
      </c>
      <c r="C73" s="62">
        <f t="shared" ref="C73:H73" si="2">SUM(C10:C72)</f>
        <v>711548977.67999983</v>
      </c>
      <c r="D73" s="62">
        <f t="shared" si="2"/>
        <v>72117491.469999999</v>
      </c>
      <c r="E73" s="62">
        <f t="shared" si="2"/>
        <v>65528543.07</v>
      </c>
      <c r="F73" s="62">
        <f t="shared" si="2"/>
        <v>69272628.810000002</v>
      </c>
      <c r="G73" s="62">
        <f t="shared" si="2"/>
        <v>63636988.730000012</v>
      </c>
      <c r="H73" s="62">
        <f t="shared" si="2"/>
        <v>72760473.770000011</v>
      </c>
      <c r="I73" s="63">
        <f t="shared" ref="I73:M73" si="3">SUM(I10:I72)</f>
        <v>71657693.890000015</v>
      </c>
      <c r="J73" s="63">
        <v>75596851.11999999</v>
      </c>
      <c r="K73" s="63">
        <f t="shared" si="3"/>
        <v>105399874.22999997</v>
      </c>
      <c r="L73" s="63">
        <f>+SUM(L10:L72)</f>
        <v>115578432.58999999</v>
      </c>
      <c r="M73" s="99"/>
      <c r="N73" s="100"/>
      <c r="O73" s="100"/>
    </row>
    <row r="74" spans="2:15" x14ac:dyDescent="0.3">
      <c r="B74" s="64"/>
      <c r="C74" s="65"/>
      <c r="D74" s="57"/>
      <c r="E74" s="54"/>
      <c r="G74" s="56"/>
      <c r="H74" s="51"/>
      <c r="K74" s="52"/>
      <c r="L74" s="49"/>
      <c r="M74" s="92"/>
      <c r="N74" s="92"/>
      <c r="O74" s="91"/>
    </row>
    <row r="75" spans="2:15" x14ac:dyDescent="0.3">
      <c r="B75" s="66" t="s">
        <v>70</v>
      </c>
      <c r="C75" s="47"/>
      <c r="D75" s="47"/>
      <c r="E75" s="47"/>
      <c r="F75" s="47"/>
      <c r="G75" s="47"/>
      <c r="H75" s="47"/>
      <c r="I75" s="46"/>
      <c r="J75" s="67"/>
      <c r="K75" s="46"/>
      <c r="L75" s="47"/>
      <c r="M75" s="101"/>
      <c r="N75" s="101"/>
      <c r="O75" s="91"/>
    </row>
    <row r="76" spans="2:15" x14ac:dyDescent="0.3">
      <c r="B76" s="48" t="s">
        <v>71</v>
      </c>
      <c r="C76" s="65">
        <f t="shared" ref="C76:C84" si="4">SUM(D76:O76)</f>
        <v>0</v>
      </c>
      <c r="G76" s="56"/>
      <c r="H76" s="51"/>
      <c r="K76" s="52"/>
      <c r="L76" s="49"/>
      <c r="M76" s="92"/>
      <c r="N76" s="92"/>
      <c r="O76" s="91"/>
    </row>
    <row r="77" spans="2:15" x14ac:dyDescent="0.3">
      <c r="B77" s="53" t="s">
        <v>72</v>
      </c>
      <c r="C77" s="65">
        <f t="shared" si="4"/>
        <v>0</v>
      </c>
      <c r="D77" s="56"/>
      <c r="E77" s="54"/>
      <c r="F77" s="56"/>
      <c r="G77" s="56"/>
      <c r="H77" s="51"/>
      <c r="I77" s="52"/>
      <c r="J77" s="52"/>
      <c r="K77" s="52"/>
      <c r="L77" s="51"/>
      <c r="M77" s="92"/>
      <c r="N77" s="92"/>
      <c r="O77" s="91"/>
    </row>
    <row r="78" spans="2:15" x14ac:dyDescent="0.3">
      <c r="B78" s="53" t="s">
        <v>73</v>
      </c>
      <c r="C78" s="65">
        <f t="shared" si="4"/>
        <v>0</v>
      </c>
      <c r="D78" s="56"/>
      <c r="E78" s="54"/>
      <c r="F78" s="56"/>
      <c r="G78" s="56"/>
      <c r="H78" s="51"/>
      <c r="I78" s="52"/>
      <c r="J78" s="52"/>
      <c r="K78" s="52"/>
      <c r="L78" s="51"/>
      <c r="M78" s="92"/>
      <c r="N78" s="92"/>
      <c r="O78" s="91"/>
    </row>
    <row r="79" spans="2:15" x14ac:dyDescent="0.3">
      <c r="B79" s="48" t="s">
        <v>74</v>
      </c>
      <c r="C79" s="65">
        <f t="shared" si="4"/>
        <v>0</v>
      </c>
      <c r="D79" s="60"/>
      <c r="E79" s="54"/>
      <c r="G79" s="56"/>
      <c r="H79" s="51"/>
      <c r="K79" s="52"/>
      <c r="L79" s="49"/>
      <c r="M79" s="92"/>
      <c r="N79" s="92"/>
      <c r="O79" s="91"/>
    </row>
    <row r="80" spans="2:15" x14ac:dyDescent="0.3">
      <c r="B80" s="53" t="s">
        <v>75</v>
      </c>
      <c r="C80" s="65">
        <f t="shared" si="4"/>
        <v>140991915.71000001</v>
      </c>
      <c r="D80" s="57">
        <v>9941349.3499999978</v>
      </c>
      <c r="E80" s="54">
        <v>5244077.72</v>
      </c>
      <c r="F80" s="55">
        <v>11060435.5</v>
      </c>
      <c r="G80" s="56">
        <v>13311420.089999998</v>
      </c>
      <c r="H80" s="51">
        <v>15733871.870000001</v>
      </c>
      <c r="I80" s="38">
        <v>3252057.54</v>
      </c>
      <c r="J80" s="52">
        <v>10839557.140000001</v>
      </c>
      <c r="K80" s="52">
        <v>37750142.5</v>
      </c>
      <c r="L80" s="52">
        <v>33859004</v>
      </c>
      <c r="M80" s="96"/>
      <c r="N80" s="91"/>
      <c r="O80" s="91"/>
    </row>
    <row r="81" spans="2:15" x14ac:dyDescent="0.3">
      <c r="B81" s="53" t="s">
        <v>76</v>
      </c>
      <c r="C81" s="65">
        <f t="shared" si="4"/>
        <v>0</v>
      </c>
      <c r="D81" s="56"/>
      <c r="E81" s="54"/>
      <c r="F81" s="56"/>
      <c r="G81" s="56"/>
      <c r="H81" s="51"/>
      <c r="I81" s="52"/>
      <c r="J81" s="52"/>
      <c r="K81" s="52"/>
      <c r="L81" s="49"/>
      <c r="M81" s="92"/>
      <c r="N81" s="92"/>
      <c r="O81" s="91"/>
    </row>
    <row r="82" spans="2:15" x14ac:dyDescent="0.3">
      <c r="B82" s="53" t="s">
        <v>103</v>
      </c>
      <c r="C82" s="65">
        <f t="shared" si="4"/>
        <v>0</v>
      </c>
      <c r="D82" s="56"/>
      <c r="E82" s="54"/>
      <c r="F82" s="56"/>
      <c r="G82" s="56"/>
      <c r="H82" s="51"/>
      <c r="I82" s="52"/>
      <c r="J82" s="52"/>
      <c r="K82" s="52"/>
      <c r="L82" s="49"/>
      <c r="M82" s="92"/>
      <c r="N82" s="92"/>
      <c r="O82" s="91"/>
    </row>
    <row r="83" spans="2:15" x14ac:dyDescent="0.3">
      <c r="B83" s="48" t="s">
        <v>77</v>
      </c>
      <c r="C83" s="65">
        <f t="shared" si="4"/>
        <v>0</v>
      </c>
      <c r="D83" s="56"/>
      <c r="E83" s="54"/>
      <c r="F83" s="56"/>
      <c r="G83" s="56"/>
      <c r="H83" s="51"/>
      <c r="I83" s="52"/>
      <c r="J83" s="52"/>
      <c r="K83" s="52"/>
      <c r="L83" s="49"/>
      <c r="M83" s="92"/>
      <c r="N83" s="92"/>
      <c r="O83" s="91"/>
    </row>
    <row r="84" spans="2:15" x14ac:dyDescent="0.3">
      <c r="B84" s="53" t="s">
        <v>78</v>
      </c>
      <c r="C84" s="65">
        <f t="shared" si="4"/>
        <v>0</v>
      </c>
      <c r="D84" s="55"/>
      <c r="E84" s="55"/>
      <c r="F84" s="55"/>
      <c r="G84" s="55"/>
      <c r="H84" s="49"/>
      <c r="I84" s="52"/>
      <c r="J84" s="52"/>
      <c r="K84" s="52"/>
      <c r="L84" s="49"/>
      <c r="M84" s="94"/>
      <c r="N84" s="94"/>
      <c r="O84" s="94"/>
    </row>
    <row r="85" spans="2:15" x14ac:dyDescent="0.3">
      <c r="B85" s="61" t="s">
        <v>79</v>
      </c>
      <c r="C85" s="68">
        <f>SUM(C76:C84)</f>
        <v>140991915.71000001</v>
      </c>
      <c r="D85" s="68">
        <f t="shared" ref="D85:K85" si="5">SUM(D76:D84)</f>
        <v>9941349.3499999978</v>
      </c>
      <c r="E85" s="68">
        <f t="shared" si="5"/>
        <v>5244077.72</v>
      </c>
      <c r="F85" s="68">
        <f t="shared" si="5"/>
        <v>11060435.5</v>
      </c>
      <c r="G85" s="68">
        <f t="shared" si="5"/>
        <v>13311420.089999998</v>
      </c>
      <c r="H85" s="68">
        <f t="shared" si="5"/>
        <v>15733871.870000001</v>
      </c>
      <c r="I85" s="68">
        <f t="shared" si="5"/>
        <v>3252057.54</v>
      </c>
      <c r="J85" s="68">
        <f t="shared" si="5"/>
        <v>10839557.140000001</v>
      </c>
      <c r="K85" s="68">
        <f t="shared" si="5"/>
        <v>37750142.5</v>
      </c>
      <c r="L85" s="68">
        <f>SUM(L76:L84)</f>
        <v>33859004</v>
      </c>
      <c r="M85" s="102"/>
      <c r="N85" s="102"/>
      <c r="O85" s="102"/>
    </row>
    <row r="86" spans="2:15" x14ac:dyDescent="0.3">
      <c r="E86" s="54"/>
      <c r="G86" s="56"/>
      <c r="K86" s="52"/>
      <c r="L86" s="65"/>
      <c r="M86" s="92"/>
      <c r="N86" s="92"/>
      <c r="O86" s="91"/>
    </row>
    <row r="87" spans="2:15" x14ac:dyDescent="0.3">
      <c r="B87" s="69" t="s">
        <v>80</v>
      </c>
      <c r="C87" s="70">
        <f>+C73+C85</f>
        <v>852540893.38999987</v>
      </c>
      <c r="D87" s="70">
        <f>+D73+D85</f>
        <v>82058840.819999993</v>
      </c>
      <c r="E87" s="70">
        <f>+E85+E73</f>
        <v>70772620.790000007</v>
      </c>
      <c r="F87" s="70">
        <f>+F73+F85</f>
        <v>80333064.310000002</v>
      </c>
      <c r="G87" s="70">
        <f>+G73+G85</f>
        <v>76948408.820000008</v>
      </c>
      <c r="H87" s="70">
        <f>+H73+H85</f>
        <v>88494345.640000015</v>
      </c>
      <c r="I87" s="71">
        <f t="shared" ref="I87:M87" si="6">+I73+I85</f>
        <v>74909751.430000022</v>
      </c>
      <c r="J87" s="71">
        <f>+J85+J73</f>
        <v>86436408.25999999</v>
      </c>
      <c r="K87" s="71">
        <f t="shared" si="6"/>
        <v>143150016.72999996</v>
      </c>
      <c r="L87" s="70">
        <f>+L73+L85</f>
        <v>149437436.58999997</v>
      </c>
      <c r="M87" s="70"/>
      <c r="N87" s="70"/>
      <c r="O87" s="70"/>
    </row>
    <row r="88" spans="2:15" x14ac:dyDescent="0.3">
      <c r="B88" s="36" t="s">
        <v>97</v>
      </c>
      <c r="D88" s="56"/>
      <c r="L88" s="65"/>
      <c r="M88" s="92"/>
      <c r="N88" s="92"/>
      <c r="O88" s="90"/>
    </row>
    <row r="89" spans="2:15" x14ac:dyDescent="0.3">
      <c r="B89" s="36" t="s">
        <v>95</v>
      </c>
      <c r="E89" s="72"/>
      <c r="H89" s="38"/>
      <c r="L89" s="65"/>
      <c r="M89" s="97"/>
      <c r="N89" s="92"/>
      <c r="O89" s="90"/>
    </row>
    <row r="90" spans="2:15" x14ac:dyDescent="0.3">
      <c r="B90" s="36" t="s">
        <v>96</v>
      </c>
      <c r="F90" s="72"/>
      <c r="L90" s="38"/>
      <c r="M90" s="92"/>
      <c r="N90" s="92"/>
      <c r="O90" s="90"/>
    </row>
    <row r="91" spans="2:15" x14ac:dyDescent="0.3">
      <c r="G91" s="72"/>
      <c r="H91" s="65"/>
      <c r="M91" s="92"/>
      <c r="N91" s="92"/>
      <c r="O91" s="92"/>
    </row>
    <row r="92" spans="2:15" x14ac:dyDescent="0.3">
      <c r="M92" s="92"/>
      <c r="N92" s="92"/>
      <c r="O92" s="92"/>
    </row>
    <row r="93" spans="2:15" x14ac:dyDescent="0.3">
      <c r="B93" s="9"/>
      <c r="M93" s="92"/>
      <c r="N93" s="92"/>
      <c r="O93" s="92"/>
    </row>
    <row r="94" spans="2:15" x14ac:dyDescent="0.3">
      <c r="B94" s="73"/>
      <c r="M94" s="92"/>
      <c r="N94" s="92"/>
      <c r="O94" s="92"/>
    </row>
    <row r="95" spans="2:15" x14ac:dyDescent="0.3">
      <c r="B95" s="73"/>
      <c r="M95" s="92"/>
      <c r="N95" s="92"/>
      <c r="O95" s="92"/>
    </row>
    <row r="96" spans="2:15" x14ac:dyDescent="0.3">
      <c r="B96" s="73"/>
      <c r="M96" s="92"/>
      <c r="N96" s="92"/>
      <c r="O96" s="92"/>
    </row>
    <row r="97" spans="2:15" x14ac:dyDescent="0.3">
      <c r="B97" s="73"/>
      <c r="M97" s="92"/>
      <c r="N97" s="92"/>
      <c r="O97" s="92"/>
    </row>
    <row r="98" spans="2:15" x14ac:dyDescent="0.3">
      <c r="B98" s="73"/>
      <c r="M98" s="92"/>
      <c r="N98" s="92"/>
      <c r="O98" s="92"/>
    </row>
    <row r="99" spans="2:15" x14ac:dyDescent="0.3">
      <c r="M99" s="92"/>
      <c r="N99" s="92"/>
      <c r="O99" s="92"/>
    </row>
    <row r="100" spans="2:15" x14ac:dyDescent="0.3">
      <c r="I100" s="77"/>
      <c r="J100" s="77"/>
      <c r="K100" s="77"/>
      <c r="M100" s="92"/>
      <c r="N100" s="92"/>
      <c r="O100" s="92"/>
    </row>
    <row r="101" spans="2:15" x14ac:dyDescent="0.3">
      <c r="B101" s="74"/>
      <c r="C101" s="79"/>
      <c r="D101" s="80"/>
      <c r="E101" s="80"/>
      <c r="F101" s="80"/>
      <c r="G101" s="80"/>
      <c r="H101" s="38"/>
      <c r="I101" s="77"/>
      <c r="J101" s="77"/>
      <c r="K101" s="77"/>
      <c r="M101" s="92"/>
      <c r="N101" s="92"/>
      <c r="O101" s="92"/>
    </row>
    <row r="102" spans="2:15" ht="60" customHeight="1" x14ac:dyDescent="0.3">
      <c r="B102" s="78"/>
      <c r="D102" s="84"/>
      <c r="E102" s="84"/>
      <c r="F102" s="84"/>
      <c r="G102" s="84"/>
      <c r="I102" s="86"/>
      <c r="J102" s="86"/>
      <c r="K102" s="86"/>
      <c r="M102" s="92"/>
      <c r="N102" s="92"/>
      <c r="O102" s="92"/>
    </row>
    <row r="103" spans="2:15" x14ac:dyDescent="0.3">
      <c r="M103" s="92"/>
      <c r="N103" s="92"/>
      <c r="O103" s="92"/>
    </row>
    <row r="104" spans="2:15" x14ac:dyDescent="0.3">
      <c r="M104" s="92"/>
      <c r="N104" s="92"/>
      <c r="O104" s="92"/>
    </row>
    <row r="105" spans="2:15" x14ac:dyDescent="0.3">
      <c r="M105" s="92"/>
      <c r="N105" s="92"/>
      <c r="O105" s="92"/>
    </row>
    <row r="106" spans="2:15" x14ac:dyDescent="0.3">
      <c r="M106" s="92"/>
      <c r="N106" s="92"/>
      <c r="O106" s="92"/>
    </row>
    <row r="107" spans="2:15" x14ac:dyDescent="0.3">
      <c r="M107" s="92"/>
      <c r="N107" s="92"/>
      <c r="O107" s="92"/>
    </row>
    <row r="108" spans="2:15" x14ac:dyDescent="0.3">
      <c r="M108" s="92"/>
      <c r="N108" s="92"/>
      <c r="O108" s="92"/>
    </row>
    <row r="109" spans="2:15" x14ac:dyDescent="0.3">
      <c r="M109" s="92"/>
      <c r="N109" s="92"/>
      <c r="O109" s="92"/>
    </row>
    <row r="110" spans="2:15" x14ac:dyDescent="0.3">
      <c r="M110" s="92"/>
      <c r="N110" s="92"/>
      <c r="O110" s="92"/>
    </row>
    <row r="111" spans="2:15" x14ac:dyDescent="0.3">
      <c r="M111" s="92"/>
      <c r="N111" s="92"/>
      <c r="O111" s="92"/>
    </row>
    <row r="112" spans="2:15" x14ac:dyDescent="0.3">
      <c r="M112" s="92"/>
      <c r="N112" s="92"/>
      <c r="O112" s="92"/>
    </row>
    <row r="113" spans="13:15" x14ac:dyDescent="0.3">
      <c r="M113" s="92"/>
      <c r="N113" s="92"/>
      <c r="O113" s="92"/>
    </row>
    <row r="114" spans="13:15" x14ac:dyDescent="0.3">
      <c r="M114" s="92"/>
      <c r="N114" s="92"/>
      <c r="O114" s="92"/>
    </row>
    <row r="115" spans="13:15" x14ac:dyDescent="0.3">
      <c r="M115" s="92"/>
      <c r="N115" s="92"/>
      <c r="O115" s="92"/>
    </row>
    <row r="116" spans="13:15" x14ac:dyDescent="0.3">
      <c r="M116" s="92"/>
      <c r="N116" s="92"/>
      <c r="O116" s="92"/>
    </row>
    <row r="117" spans="13:15" x14ac:dyDescent="0.3">
      <c r="M117" s="92"/>
      <c r="N117" s="92"/>
      <c r="O117" s="92"/>
    </row>
    <row r="118" spans="13:15" x14ac:dyDescent="0.3">
      <c r="M118" s="92"/>
      <c r="N118" s="92"/>
      <c r="O118" s="92"/>
    </row>
    <row r="119" spans="13:15" x14ac:dyDescent="0.3">
      <c r="M119" s="92"/>
      <c r="N119" s="92"/>
      <c r="O119" s="92"/>
    </row>
    <row r="120" spans="13:15" x14ac:dyDescent="0.3">
      <c r="M120" s="92"/>
      <c r="N120" s="92"/>
      <c r="O120" s="92"/>
    </row>
  </sheetData>
  <mergeCells count="7">
    <mergeCell ref="D102:G102"/>
    <mergeCell ref="B1:O1"/>
    <mergeCell ref="I102:K102"/>
    <mergeCell ref="B4:J4"/>
    <mergeCell ref="B3:J3"/>
    <mergeCell ref="B2:J2"/>
    <mergeCell ref="B5:J5"/>
  </mergeCells>
  <pageMargins left="0.70866141732283472" right="0.70866141732283472" top="0.74803149606299213" bottom="0.74803149606299213" header="0.31496062992125984" footer="0.31496062992125984"/>
  <pageSetup scale="28" fitToWidth="0" orientation="landscape" r:id="rId1"/>
  <rowBreaks count="1" manualBreakCount="1">
    <brk id="50" max="11" man="1"/>
  </rowBreaks>
  <ignoredErrors>
    <ignoredError sqref="E87 I73 J87 L7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83"/>
      <c r="C1" s="83"/>
      <c r="D1" s="83"/>
    </row>
    <row r="2" spans="2:10" x14ac:dyDescent="0.25">
      <c r="B2" s="83" t="s">
        <v>101</v>
      </c>
      <c r="C2" s="83"/>
      <c r="D2" s="83"/>
    </row>
    <row r="3" spans="2:10" x14ac:dyDescent="0.25">
      <c r="B3" s="83" t="s">
        <v>108</v>
      </c>
      <c r="C3" s="83"/>
      <c r="D3" s="83"/>
    </row>
    <row r="4" spans="2:10" x14ac:dyDescent="0.25">
      <c r="B4" s="83" t="s">
        <v>98</v>
      </c>
      <c r="C4" s="83"/>
      <c r="D4" s="83"/>
    </row>
    <row r="5" spans="2:10" x14ac:dyDescent="0.25">
      <c r="B5" s="87" t="s">
        <v>36</v>
      </c>
      <c r="C5" s="87"/>
      <c r="D5" s="87"/>
    </row>
    <row r="7" spans="2:10" ht="31.5" customHeight="1" x14ac:dyDescent="0.25">
      <c r="B7" s="13" t="s">
        <v>0</v>
      </c>
      <c r="C7" s="14" t="s">
        <v>106</v>
      </c>
      <c r="D7" s="14" t="s">
        <v>107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+GETPIVOTDATA("monto",[1]Hoja4!$A$3,"cuentas","2.1 -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+GETPIVOTDATA("monto",[1]Hoja4!$A$3,"cuentas","2.2 -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+GETPIVOTDATA("monto",[1]Hoja4!$A$3,"cuentas","2.3 -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+GETPIVOTDATA("monto",[1]Hoja4!$A$3,"cuentas","2.4 -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+GETPIVOTDATA("monto",[1]Hoja4!$A$3,"cuentas","2.6 -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105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113</v>
      </c>
    </row>
    <row r="3" spans="1:2" x14ac:dyDescent="0.25">
      <c r="A3">
        <v>1</v>
      </c>
      <c r="B3" t="s">
        <v>109</v>
      </c>
    </row>
    <row r="4" spans="1:2" x14ac:dyDescent="0.25">
      <c r="A4">
        <v>2</v>
      </c>
      <c r="B4" t="s">
        <v>110</v>
      </c>
    </row>
    <row r="5" spans="1:2" x14ac:dyDescent="0.25">
      <c r="A5">
        <v>3</v>
      </c>
      <c r="B5" t="s">
        <v>111</v>
      </c>
    </row>
    <row r="6" spans="1:2" x14ac:dyDescent="0.25">
      <c r="B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Lenovo</cp:lastModifiedBy>
  <cp:lastPrinted>2022-01-16T04:31:56Z</cp:lastPrinted>
  <dcterms:created xsi:type="dcterms:W3CDTF">2018-04-17T18:57:16Z</dcterms:created>
  <dcterms:modified xsi:type="dcterms:W3CDTF">2022-01-16T04:32:24Z</dcterms:modified>
</cp:coreProperties>
</file>